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9855" activeTab="0"/>
  </bookViews>
  <sheets>
    <sheet name="Air Density" sheetId="1" r:id="rId1"/>
    <sheet name="Air Density (2)" sheetId="2" r:id="rId2"/>
  </sheets>
  <definedNames>
    <definedName name="_xlnm.Print_Area" localSheetId="1">'Air Density (2)'!$A:$E</definedName>
  </definedNames>
  <calcPr fullCalcOnLoad="1"/>
</workbook>
</file>

<file path=xl/sharedStrings.xml><?xml version="1.0" encoding="utf-8"?>
<sst xmlns="http://schemas.openxmlformats.org/spreadsheetml/2006/main" count="109" uniqueCount="57">
  <si>
    <t>Rel. Hum.</t>
  </si>
  <si>
    <t>Tf</t>
  </si>
  <si>
    <t>Tc</t>
  </si>
  <si>
    <t>Tk</t>
  </si>
  <si>
    <t>Baro (in)</t>
  </si>
  <si>
    <t>Baro (mb)</t>
  </si>
  <si>
    <t>Baro (sea-level) (mb)</t>
  </si>
  <si>
    <t>Baro (sea-level) (in)</t>
  </si>
  <si>
    <t>M (g/kg)</t>
  </si>
  <si>
    <t>Ms (g/kg)</t>
  </si>
  <si>
    <t>Tvc</t>
  </si>
  <si>
    <t>Tdc</t>
  </si>
  <si>
    <t>Tdf</t>
  </si>
  <si>
    <t>D (air density) (kg/m3)</t>
  </si>
  <si>
    <t>D (virt air density) (kg/m3)</t>
  </si>
  <si>
    <t>Es (sat. pr) (mb)</t>
  </si>
  <si>
    <t>E (vap pr) (mb)</t>
  </si>
  <si>
    <t>D (absolute hum) (kg/m3)</t>
  </si>
  <si>
    <t>B4*12*2.54/100</t>
  </si>
  <si>
    <t>((B1-32)*5/9)</t>
  </si>
  <si>
    <t>Altitude (ft)</t>
  </si>
  <si>
    <t>Altitude (m)</t>
  </si>
  <si>
    <t>Baro (alt-station)</t>
  </si>
  <si>
    <t xml:space="preserve">The equation is: D=P/(T*R) </t>
  </si>
  <si>
    <t>Std Density (100)</t>
  </si>
  <si>
    <t>Corrected Density</t>
  </si>
  <si>
    <t>Average D2</t>
  </si>
  <si>
    <t>Average D1</t>
  </si>
  <si>
    <t>B3/(29.92/1013)</t>
  </si>
  <si>
    <t>% Std Density</t>
  </si>
  <si>
    <t>Based on temp, pressure and humidity</t>
  </si>
  <si>
    <t>Based on temp, altitude and humidity</t>
  </si>
  <si>
    <t>Based on temp, altitude, pressure, and humidity</t>
  </si>
  <si>
    <t>Formula…</t>
  </si>
  <si>
    <t>B8+273</t>
  </si>
  <si>
    <t>1013*EXP(-B7/7000)</t>
  </si>
  <si>
    <t>B11*(29.92/1013)</t>
  </si>
  <si>
    <t>3.884266*10^((7.5*B8)/(237.7+B8))</t>
  </si>
  <si>
    <t>B13*B2/100</t>
  </si>
  <si>
    <t>((1+1.609*B14)/(1+B14))*B8</t>
  </si>
  <si>
    <t>6.11*10^(7.5*B8/(237.7+B8))</t>
  </si>
  <si>
    <t>(B2*B16)/100</t>
  </si>
  <si>
    <t>(-430.22+237.7*LN(B17))/(-LN(B17)+19.08)</t>
  </si>
  <si>
    <t>B18*9/5+32</t>
  </si>
  <si>
    <t>(B10*100)/(B9*287)</t>
  </si>
  <si>
    <t>(B10*100)/((B15+273)*287)</t>
  </si>
  <si>
    <t>((B14*100)*100)/(B9*461.5)</t>
  </si>
  <si>
    <t>(B11*100)/(B9*287)</t>
  </si>
  <si>
    <t>(B11*100)/((B15+273)*287)</t>
  </si>
  <si>
    <t>B10*EXP(-B7/7000)</t>
  </si>
  <si>
    <t>(B34*100)/(B9*287)</t>
  </si>
  <si>
    <t>(B34*100)/((B15+273)*287)</t>
  </si>
  <si>
    <t>SUM(B24,B30,B35)/3</t>
  </si>
  <si>
    <t>SUM(B25,B31,B36)/3</t>
  </si>
  <si>
    <t>(B24*100)/(B9*287)</t>
  </si>
  <si>
    <t>(B24*100)/((B15+273)*287)</t>
  </si>
  <si>
    <t>Formulas taken from: http://usatoday.com/weather/wworks0.htm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</si>
</sst>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000"/>
    <numFmt numFmtId="167" formatCode="0.0000000"/>
    <numFmt numFmtId="168" formatCode="0.00000000"/>
    <numFmt numFmtId="169" formatCode="0.000000000"/>
    <numFmt numFmtId="170" formatCode="0.0000000000"/>
    <numFmt numFmtId="171" formatCode="0.00000000000"/>
    <numFmt numFmtId="172" formatCode="0.000000000000"/>
    <numFmt numFmtId="173" formatCode="0.0000000000000"/>
    <numFmt numFmtId="174" formatCode="0.00000000000000"/>
    <numFmt numFmtId="175" formatCode="0.000000000000000"/>
    <numFmt numFmtId="176" formatCode="0.0000000000000000"/>
    <numFmt numFmtId="177" formatCode="0.00000000000000000"/>
    <numFmt numFmtId="178" formatCode="0.000000000000000000"/>
    <numFmt numFmtId="179" formatCode="0.0000000000000000000"/>
    <numFmt numFmtId="180" formatCode="0.00000000000000000000"/>
    <numFmt numFmtId="181" formatCode="0.000000000000000000000"/>
    <numFmt numFmtId="182" formatCode="0.0000000000000000000000"/>
    <numFmt numFmtId="183" formatCode="0.000"/>
    <numFmt numFmtId="184" formatCode="0.0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184" fontId="0" fillId="0" borderId="0" xfId="0" applyNumberFormat="1" applyAlignment="1">
      <alignment/>
    </xf>
    <xf numFmtId="184" fontId="2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B4" sqref="B4"/>
    </sheetView>
  </sheetViews>
  <sheetFormatPr defaultColWidth="9.140625" defaultRowHeight="12.75"/>
  <cols>
    <col min="1" max="1" width="24.00390625" style="0" bestFit="1" customWidth="1"/>
    <col min="2" max="2" width="10.140625" style="1" bestFit="1" customWidth="1"/>
    <col min="3" max="3" width="36.140625" style="0" bestFit="1" customWidth="1"/>
    <col min="4" max="4" width="17.00390625" style="0" bestFit="1" customWidth="1"/>
    <col min="5" max="5" width="13.00390625" style="0" bestFit="1" customWidth="1"/>
  </cols>
  <sheetData>
    <row r="1" spans="1:2" ht="12.75">
      <c r="A1" t="s">
        <v>1</v>
      </c>
      <c r="B1" s="1">
        <v>59</v>
      </c>
    </row>
    <row r="2" spans="1:2" ht="12.75">
      <c r="A2" t="s">
        <v>0</v>
      </c>
      <c r="B2" s="1">
        <v>44</v>
      </c>
    </row>
    <row r="3" spans="1:2" ht="12.75">
      <c r="A3" t="s">
        <v>4</v>
      </c>
      <c r="B3" s="1">
        <v>29.92</v>
      </c>
    </row>
    <row r="4" spans="1:2" ht="12.75">
      <c r="A4" t="s">
        <v>20</v>
      </c>
      <c r="B4" s="1">
        <v>0</v>
      </c>
    </row>
    <row r="6" ht="12.75">
      <c r="C6" s="10" t="s">
        <v>33</v>
      </c>
    </row>
    <row r="7" spans="1:3" ht="12.75">
      <c r="A7" t="s">
        <v>21</v>
      </c>
      <c r="B7" s="1">
        <f>B4*12*2.54/100</f>
        <v>0</v>
      </c>
      <c r="C7" t="s">
        <v>18</v>
      </c>
    </row>
    <row r="8" spans="1:3" ht="12.75">
      <c r="A8" t="s">
        <v>2</v>
      </c>
      <c r="B8" s="1">
        <f>((B1-32)*5/9)</f>
        <v>15</v>
      </c>
      <c r="C8" t="s">
        <v>19</v>
      </c>
    </row>
    <row r="9" spans="1:3" ht="12.75">
      <c r="A9" t="s">
        <v>3</v>
      </c>
      <c r="B9" s="1">
        <f>B8+273</f>
        <v>288</v>
      </c>
      <c r="C9" t="s">
        <v>34</v>
      </c>
    </row>
    <row r="10" spans="1:3" ht="12.75">
      <c r="A10" t="s">
        <v>5</v>
      </c>
      <c r="B10" s="1">
        <f>B3/(29.92/1013)</f>
        <v>1013</v>
      </c>
      <c r="C10" t="s">
        <v>28</v>
      </c>
    </row>
    <row r="11" spans="1:3" ht="12.75">
      <c r="A11" t="s">
        <v>6</v>
      </c>
      <c r="B11" s="1">
        <f>1013*EXP(-B7/7000)</f>
        <v>1013</v>
      </c>
      <c r="C11" t="s">
        <v>35</v>
      </c>
    </row>
    <row r="12" spans="1:3" ht="12.75">
      <c r="A12" t="s">
        <v>7</v>
      </c>
      <c r="B12" s="1">
        <f>B11*(29.92/1013)</f>
        <v>29.92</v>
      </c>
      <c r="C12" t="s">
        <v>36</v>
      </c>
    </row>
    <row r="13" spans="1:3" ht="12.75">
      <c r="A13" t="s">
        <v>9</v>
      </c>
      <c r="B13" s="1">
        <f>3.884266*10^((7.5*B8)/(237.7+B8))</f>
        <v>10.826819352067137</v>
      </c>
      <c r="C13" t="s">
        <v>37</v>
      </c>
    </row>
    <row r="14" spans="1:3" ht="12.75">
      <c r="A14" t="s">
        <v>8</v>
      </c>
      <c r="B14" s="1">
        <f>B13*B2/100</f>
        <v>4.763800514909541</v>
      </c>
      <c r="C14" t="s">
        <v>38</v>
      </c>
    </row>
    <row r="15" spans="1:3" ht="12.75">
      <c r="A15" t="s">
        <v>10</v>
      </c>
      <c r="B15" s="1">
        <f>((1+1.609*B14)/(1+B14))*B8</f>
        <v>22.55010823000033</v>
      </c>
      <c r="C15" t="s">
        <v>39</v>
      </c>
    </row>
    <row r="16" spans="1:3" ht="12.75">
      <c r="A16" t="s">
        <v>15</v>
      </c>
      <c r="B16" s="1">
        <f>6.11*10^(7.5*B8/(237.7+B8))</f>
        <v>17.030725043323553</v>
      </c>
      <c r="C16" t="s">
        <v>40</v>
      </c>
    </row>
    <row r="17" spans="1:3" ht="12.75">
      <c r="A17" t="s">
        <v>16</v>
      </c>
      <c r="B17" s="1">
        <f>(B2*B16)/100</f>
        <v>7.493519019062363</v>
      </c>
      <c r="C17" t="s">
        <v>41</v>
      </c>
    </row>
    <row r="18" spans="1:3" ht="12.75">
      <c r="A18" t="s">
        <v>11</v>
      </c>
      <c r="B18" s="1">
        <f>(-430.22+237.7*LN(B17))/(-LN(B17)+19.08)</f>
        <v>2.84290781627643</v>
      </c>
      <c r="C18" t="s">
        <v>42</v>
      </c>
    </row>
    <row r="19" spans="1:3" ht="12.75">
      <c r="A19" t="s">
        <v>12</v>
      </c>
      <c r="B19" s="1">
        <f>B18*9/5+32</f>
        <v>37.117234069297574</v>
      </c>
      <c r="C19" t="s">
        <v>43</v>
      </c>
    </row>
    <row r="21" spans="1:5" ht="12.75">
      <c r="A21" t="s">
        <v>23</v>
      </c>
      <c r="D21" t="s">
        <v>24</v>
      </c>
      <c r="E21">
        <v>1.22556</v>
      </c>
    </row>
    <row r="23" spans="1:5" ht="12.75">
      <c r="A23" s="4" t="s">
        <v>32</v>
      </c>
      <c r="E23" s="7"/>
    </row>
    <row r="24" spans="1:5" ht="12.75">
      <c r="A24" t="s">
        <v>22</v>
      </c>
      <c r="B24" s="1">
        <f>B10*EXP(-B7/7000)</f>
        <v>1013</v>
      </c>
      <c r="C24" t="s">
        <v>49</v>
      </c>
      <c r="E24" s="7"/>
    </row>
    <row r="25" spans="1:7" ht="12.75">
      <c r="A25" s="4" t="s">
        <v>13</v>
      </c>
      <c r="B25" s="5">
        <f>(B24*100)/(B9*287)</f>
        <v>1.2255613627564848</v>
      </c>
      <c r="C25" s="4" t="s">
        <v>54</v>
      </c>
      <c r="D25" s="4" t="s">
        <v>25</v>
      </c>
      <c r="E25" s="8">
        <f>B25/$E$21*100</f>
        <v>100.0001111945955</v>
      </c>
      <c r="G25" s="6"/>
    </row>
    <row r="26" spans="1:7" ht="12.75">
      <c r="A26" s="2" t="s">
        <v>14</v>
      </c>
      <c r="B26" s="3">
        <f>(B24*100)/((B15+273)*287)</f>
        <v>1.1942532336993394</v>
      </c>
      <c r="C26" s="2" t="s">
        <v>55</v>
      </c>
      <c r="D26" s="2" t="s">
        <v>25</v>
      </c>
      <c r="E26" s="9">
        <f>B26/$E$21*100</f>
        <v>97.44551337342435</v>
      </c>
      <c r="G26" s="6"/>
    </row>
    <row r="28" ht="12.75">
      <c r="A28" s="11" t="s">
        <v>56</v>
      </c>
    </row>
  </sheetData>
  <printOptions gridLines="1" headings="1"/>
  <pageMargins left="0.25" right="0.2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4">
      <selection activeCell="A42" sqref="A42"/>
    </sheetView>
  </sheetViews>
  <sheetFormatPr defaultColWidth="9.140625" defaultRowHeight="12.75"/>
  <cols>
    <col min="1" max="1" width="24.00390625" style="0" bestFit="1" customWidth="1"/>
    <col min="2" max="2" width="9.57421875" style="1" bestFit="1" customWidth="1"/>
    <col min="3" max="3" width="36.140625" style="0" bestFit="1" customWidth="1"/>
    <col min="4" max="4" width="17.00390625" style="0" bestFit="1" customWidth="1"/>
    <col min="5" max="5" width="13.00390625" style="0" bestFit="1" customWidth="1"/>
  </cols>
  <sheetData>
    <row r="1" spans="1:2" ht="12.75">
      <c r="A1" t="s">
        <v>1</v>
      </c>
      <c r="B1" s="1">
        <v>80</v>
      </c>
    </row>
    <row r="2" spans="1:2" ht="12.75">
      <c r="A2" t="s">
        <v>0</v>
      </c>
      <c r="B2" s="1">
        <v>44</v>
      </c>
    </row>
    <row r="3" spans="1:2" ht="12.75">
      <c r="A3" t="s">
        <v>4</v>
      </c>
      <c r="B3" s="1">
        <v>30.02</v>
      </c>
    </row>
    <row r="4" spans="1:2" ht="12.75">
      <c r="A4" t="s">
        <v>20</v>
      </c>
      <c r="B4" s="1">
        <v>200</v>
      </c>
    </row>
    <row r="6" ht="12.75">
      <c r="C6" s="10" t="s">
        <v>33</v>
      </c>
    </row>
    <row r="7" spans="1:3" ht="12.75">
      <c r="A7" t="s">
        <v>21</v>
      </c>
      <c r="B7" s="1">
        <f>B4*12*2.54/100</f>
        <v>60.96</v>
      </c>
      <c r="C7" t="s">
        <v>18</v>
      </c>
    </row>
    <row r="8" spans="1:3" ht="12.75">
      <c r="A8" t="s">
        <v>2</v>
      </c>
      <c r="B8" s="1">
        <f>((B1-32)*5/9)</f>
        <v>26.666666666666668</v>
      </c>
      <c r="C8" t="s">
        <v>19</v>
      </c>
    </row>
    <row r="9" spans="1:3" ht="12.75">
      <c r="A9" t="s">
        <v>3</v>
      </c>
      <c r="B9" s="1">
        <f>B8+273</f>
        <v>299.6666666666667</v>
      </c>
      <c r="C9" t="s">
        <v>34</v>
      </c>
    </row>
    <row r="10" spans="1:3" ht="12.75">
      <c r="A10" t="s">
        <v>5</v>
      </c>
      <c r="B10" s="1">
        <f>B3/(29.92/1013)</f>
        <v>1016.3856951871658</v>
      </c>
      <c r="C10" t="s">
        <v>28</v>
      </c>
    </row>
    <row r="11" spans="1:3" ht="12.75">
      <c r="A11" t="s">
        <v>6</v>
      </c>
      <c r="B11" s="1">
        <f>1013*EXP(-B7/7000)</f>
        <v>1004.2165184420861</v>
      </c>
      <c r="C11" t="s">
        <v>35</v>
      </c>
    </row>
    <row r="12" spans="1:3" ht="12.75">
      <c r="A12" t="s">
        <v>7</v>
      </c>
      <c r="B12" s="1">
        <f>B11*(29.92/1013)</f>
        <v>29.660570811241083</v>
      </c>
      <c r="C12" t="s">
        <v>36</v>
      </c>
    </row>
    <row r="13" spans="1:3" ht="12.75">
      <c r="A13" t="s">
        <v>9</v>
      </c>
      <c r="B13" s="1">
        <f>3.884266*10^((7.5*B8)/(237.7+B8))</f>
        <v>22.173486802713995</v>
      </c>
      <c r="C13" t="s">
        <v>37</v>
      </c>
    </row>
    <row r="14" spans="1:3" ht="12.75">
      <c r="A14" t="s">
        <v>8</v>
      </c>
      <c r="B14" s="1">
        <f>B13*B2/100</f>
        <v>9.756334193194158</v>
      </c>
      <c r="C14" t="s">
        <v>38</v>
      </c>
    </row>
    <row r="15" spans="1:3" ht="12.75">
      <c r="A15" t="s">
        <v>10</v>
      </c>
      <c r="B15" s="1">
        <f>((1+1.609*B14)/(1+B14))*B8</f>
        <v>41.396858612332</v>
      </c>
      <c r="C15" t="s">
        <v>39</v>
      </c>
    </row>
    <row r="16" spans="1:3" ht="12.75">
      <c r="A16" t="s">
        <v>15</v>
      </c>
      <c r="B16" s="1">
        <f>6.11*10^(7.5*B8/(237.7+B8))</f>
        <v>34.87917778148626</v>
      </c>
      <c r="C16" t="s">
        <v>40</v>
      </c>
    </row>
    <row r="17" spans="1:3" ht="12.75">
      <c r="A17" t="s">
        <v>16</v>
      </c>
      <c r="B17" s="1">
        <f>(B2*B16)/100</f>
        <v>15.346838223853956</v>
      </c>
      <c r="C17" t="s">
        <v>41</v>
      </c>
    </row>
    <row r="18" spans="1:3" ht="12.75">
      <c r="A18" t="s">
        <v>11</v>
      </c>
      <c r="B18" s="1">
        <f>(-430.22+237.7*LN(B17))/(-LN(B17)+19.08)</f>
        <v>13.390174921364363</v>
      </c>
      <c r="C18" t="s">
        <v>42</v>
      </c>
    </row>
    <row r="19" spans="1:3" ht="12.75">
      <c r="A19" t="s">
        <v>12</v>
      </c>
      <c r="B19" s="1">
        <f>B18*9/5+32</f>
        <v>56.102314858455856</v>
      </c>
      <c r="C19" t="s">
        <v>43</v>
      </c>
    </row>
    <row r="21" spans="1:5" ht="12.75">
      <c r="A21" t="s">
        <v>23</v>
      </c>
      <c r="D21" t="s">
        <v>24</v>
      </c>
      <c r="E21">
        <v>1.22556</v>
      </c>
    </row>
    <row r="23" spans="1:5" ht="12.75">
      <c r="A23" s="4" t="s">
        <v>30</v>
      </c>
      <c r="E23" t="s">
        <v>29</v>
      </c>
    </row>
    <row r="24" spans="1:7" ht="12.75">
      <c r="A24" s="4" t="s">
        <v>13</v>
      </c>
      <c r="B24" s="5">
        <f>(B10*100)/(B9*287)</f>
        <v>1.1817842843428419</v>
      </c>
      <c r="C24" s="4" t="s">
        <v>44</v>
      </c>
      <c r="D24" s="4" t="s">
        <v>25</v>
      </c>
      <c r="E24" s="8">
        <f>B24/$E$21*100</f>
        <v>96.42810505751183</v>
      </c>
      <c r="G24" s="6"/>
    </row>
    <row r="25" spans="1:7" ht="12.75">
      <c r="A25" s="2" t="s">
        <v>14</v>
      </c>
      <c r="B25" s="3">
        <f>(B10*100)/((B15+273)*287)</f>
        <v>1.1264150627050216</v>
      </c>
      <c r="C25" s="2" t="s">
        <v>45</v>
      </c>
      <c r="D25" t="s">
        <v>25</v>
      </c>
      <c r="E25" s="7">
        <f>B25/$E$21*100</f>
        <v>91.91023390980627</v>
      </c>
      <c r="G25" s="6"/>
    </row>
    <row r="26" ht="12.75">
      <c r="E26" s="7"/>
    </row>
    <row r="27" spans="1:5" ht="12.75">
      <c r="A27" t="s">
        <v>17</v>
      </c>
      <c r="B27" s="1">
        <f>((B14*100)*100)/(B9*461.5)</f>
        <v>0.705466711648611</v>
      </c>
      <c r="C27" t="s">
        <v>46</v>
      </c>
      <c r="E27" s="7"/>
    </row>
    <row r="28" ht="12.75">
      <c r="E28" s="7"/>
    </row>
    <row r="29" spans="1:5" ht="12.75">
      <c r="A29" s="4" t="s">
        <v>31</v>
      </c>
      <c r="E29" s="7"/>
    </row>
    <row r="30" spans="1:7" ht="12.75">
      <c r="A30" s="4" t="s">
        <v>13</v>
      </c>
      <c r="B30" s="5">
        <f>(B11*100)/(B9*287)</f>
        <v>1.167634791784235</v>
      </c>
      <c r="C30" s="4" t="s">
        <v>47</v>
      </c>
      <c r="D30" s="4" t="s">
        <v>25</v>
      </c>
      <c r="E30" s="8">
        <f>B30/$E$21*100</f>
        <v>95.27357222691953</v>
      </c>
      <c r="G30" s="6"/>
    </row>
    <row r="31" spans="1:7" ht="12.75">
      <c r="A31" s="2" t="s">
        <v>14</v>
      </c>
      <c r="B31" s="3">
        <f>(B11*100)/((B15+273)*287)</f>
        <v>1.1129285053368039</v>
      </c>
      <c r="C31" s="2" t="s">
        <v>48</v>
      </c>
      <c r="D31" t="s">
        <v>25</v>
      </c>
      <c r="E31" s="7">
        <f>B31/$E$21*100</f>
        <v>90.80979350964489</v>
      </c>
      <c r="G31" s="6"/>
    </row>
    <row r="32" ht="12.75">
      <c r="E32" s="7"/>
    </row>
    <row r="33" spans="1:5" ht="12.75">
      <c r="A33" s="4" t="s">
        <v>32</v>
      </c>
      <c r="E33" s="7"/>
    </row>
    <row r="34" spans="1:5" ht="12.75">
      <c r="A34" t="s">
        <v>22</v>
      </c>
      <c r="B34" s="1">
        <f>B10*EXP(-B7/7000)</f>
        <v>1007.5728570732429</v>
      </c>
      <c r="C34" t="s">
        <v>49</v>
      </c>
      <c r="E34" s="7"/>
    </row>
    <row r="35" spans="1:7" ht="12.75">
      <c r="A35" s="4" t="s">
        <v>13</v>
      </c>
      <c r="B35" s="5">
        <f>(B34*100)/(B9*287)</f>
        <v>1.1715373144840486</v>
      </c>
      <c r="C35" s="4" t="s">
        <v>50</v>
      </c>
      <c r="D35" s="4" t="s">
        <v>25</v>
      </c>
      <c r="E35" s="8">
        <f>B35/$E$21*100</f>
        <v>95.59199994158169</v>
      </c>
      <c r="G35" s="6"/>
    </row>
    <row r="36" spans="1:7" ht="12.75">
      <c r="A36" s="2" t="s">
        <v>14</v>
      </c>
      <c r="B36" s="3">
        <f>(B34*100)/((B15+273)*287)</f>
        <v>1.116648186170149</v>
      </c>
      <c r="C36" s="2" t="s">
        <v>51</v>
      </c>
      <c r="D36" s="2" t="s">
        <v>25</v>
      </c>
      <c r="E36" s="9">
        <f>B36/$E$21*100</f>
        <v>91.11330217779211</v>
      </c>
      <c r="G36" s="6"/>
    </row>
    <row r="37" ht="12.75">
      <c r="E37" s="7"/>
    </row>
    <row r="38" ht="12.75">
      <c r="E38" s="7"/>
    </row>
    <row r="39" spans="1:5" ht="12.75">
      <c r="A39" s="4" t="s">
        <v>27</v>
      </c>
      <c r="B39" s="5">
        <f>SUM(B24,B30,B35)/3</f>
        <v>1.1736521302037086</v>
      </c>
      <c r="C39" s="4" t="s">
        <v>52</v>
      </c>
      <c r="D39" s="4" t="s">
        <v>25</v>
      </c>
      <c r="E39" s="8">
        <f>B39/$E$21*100</f>
        <v>95.7645590753377</v>
      </c>
    </row>
    <row r="40" spans="1:5" ht="12.75">
      <c r="A40" s="4" t="s">
        <v>26</v>
      </c>
      <c r="B40" s="5">
        <f>SUM(B25,B31,B36)/3</f>
        <v>1.1186639180706581</v>
      </c>
      <c r="C40" s="4" t="s">
        <v>53</v>
      </c>
      <c r="D40" s="4" t="s">
        <v>25</v>
      </c>
      <c r="E40" s="8">
        <f>B40/$E$21*100</f>
        <v>91.27777653241442</v>
      </c>
    </row>
    <row r="42" ht="12.75">
      <c r="A42" s="11" t="s">
        <v>56</v>
      </c>
    </row>
  </sheetData>
  <printOptions gridLines="1" headings="1"/>
  <pageMargins left="0.25" right="0.2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KoryG</dc:creator>
  <cp:keywords/>
  <dc:description/>
  <cp:lastModifiedBy>EDS</cp:lastModifiedBy>
  <cp:lastPrinted>1997-08-27T00:09:20Z</cp:lastPrinted>
  <dcterms:created xsi:type="dcterms:W3CDTF">1997-08-22T19:17:41Z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